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Финансы\2018\БЮДЖЕТ на 2018\На Совет Депутатов 1 чтение\К бюджету 2018 в КСК\"/>
    </mc:Choice>
  </mc:AlternateContent>
  <bookViews>
    <workbookView xWindow="120" yWindow="15" windowWidth="15135" windowHeight="8130"/>
  </bookViews>
  <sheets>
    <sheet name="2018" sheetId="32" r:id="rId1"/>
  </sheets>
  <calcPr calcId="162913"/>
</workbook>
</file>

<file path=xl/calcChain.xml><?xml version="1.0" encoding="utf-8"?>
<calcChain xmlns="http://schemas.openxmlformats.org/spreadsheetml/2006/main">
  <c r="J9" i="32" l="1"/>
  <c r="I44" i="32"/>
  <c r="H44" i="32"/>
  <c r="G44" i="32"/>
  <c r="F44" i="32"/>
  <c r="E44" i="32"/>
  <c r="D44" i="32"/>
  <c r="C44" i="32"/>
  <c r="B44" i="32"/>
  <c r="J43" i="32"/>
  <c r="J26" i="32"/>
  <c r="J25" i="32"/>
  <c r="I24" i="32"/>
  <c r="H24" i="32"/>
  <c r="G24" i="32"/>
  <c r="F24" i="32"/>
  <c r="E24" i="32"/>
  <c r="D24" i="32"/>
  <c r="C24" i="32"/>
  <c r="B24" i="32"/>
  <c r="I21" i="32"/>
  <c r="H21" i="32"/>
  <c r="G21" i="32"/>
  <c r="F21" i="32"/>
  <c r="E21" i="32"/>
  <c r="D21" i="32"/>
  <c r="C21" i="32"/>
  <c r="B21" i="32"/>
  <c r="J20" i="32"/>
  <c r="J19" i="32"/>
  <c r="J18" i="32"/>
  <c r="J17" i="32"/>
  <c r="I10" i="32"/>
  <c r="H10" i="32"/>
  <c r="G10" i="32"/>
  <c r="F10" i="32"/>
  <c r="E10" i="32"/>
  <c r="D10" i="32"/>
  <c r="C10" i="32"/>
  <c r="B10" i="32"/>
  <c r="J8" i="32"/>
  <c r="J7" i="32"/>
  <c r="J4" i="32"/>
  <c r="E11" i="32" s="1"/>
  <c r="D11" i="32"/>
  <c r="J23" i="32" l="1"/>
  <c r="B22" i="32" s="1"/>
  <c r="H11" i="32"/>
  <c r="H12" i="32" s="1"/>
  <c r="J10" i="32"/>
  <c r="J12" i="32" s="1"/>
  <c r="J13" i="32" s="1"/>
  <c r="J31" i="32"/>
  <c r="J44" i="32"/>
  <c r="G11" i="32"/>
  <c r="G12" i="32" s="1"/>
  <c r="F11" i="32"/>
  <c r="F12" i="32" s="1"/>
  <c r="F14" i="32" s="1"/>
  <c r="E12" i="32"/>
  <c r="F13" i="32"/>
  <c r="E13" i="32"/>
  <c r="D12" i="32"/>
  <c r="H27" i="32"/>
  <c r="B11" i="32"/>
  <c r="B12" i="32" s="1"/>
  <c r="I11" i="32"/>
  <c r="I12" i="32" s="1"/>
  <c r="B31" i="32"/>
  <c r="I31" i="32"/>
  <c r="J24" i="32"/>
  <c r="C11" i="32"/>
  <c r="C12" i="32" s="1"/>
  <c r="E27" i="32"/>
  <c r="F31" i="32"/>
  <c r="C31" i="32"/>
  <c r="D31" i="32"/>
  <c r="G31" i="32"/>
  <c r="H31" i="32"/>
  <c r="E31" i="32"/>
  <c r="J21" i="32"/>
  <c r="K17" i="32" s="1"/>
  <c r="C27" i="32"/>
  <c r="J27" i="32"/>
  <c r="D27" i="32"/>
  <c r="B27" i="32"/>
  <c r="G27" i="32"/>
  <c r="I27" i="32"/>
  <c r="F27" i="32"/>
  <c r="J14" i="32" l="1"/>
  <c r="H22" i="32"/>
  <c r="C22" i="32"/>
  <c r="E14" i="32"/>
  <c r="H30" i="32"/>
  <c r="H13" i="32"/>
  <c r="H14" i="32"/>
  <c r="G13" i="32"/>
  <c r="G14" i="32"/>
  <c r="D22" i="32"/>
  <c r="G22" i="32"/>
  <c r="I22" i="32"/>
  <c r="E22" i="32"/>
  <c r="F22" i="32"/>
  <c r="C14" i="32"/>
  <c r="C13" i="32"/>
  <c r="B13" i="32"/>
  <c r="B14" i="32"/>
  <c r="D14" i="32"/>
  <c r="D13" i="32"/>
  <c r="I14" i="32"/>
  <c r="I13" i="32"/>
  <c r="D30" i="32"/>
  <c r="C30" i="32"/>
  <c r="K20" i="32"/>
  <c r="K19" i="32"/>
  <c r="K18" i="32"/>
  <c r="J30" i="32"/>
  <c r="G30" i="32"/>
  <c r="I30" i="32"/>
  <c r="F30" i="32"/>
  <c r="E30" i="32"/>
  <c r="B30" i="32"/>
  <c r="J22" i="32" l="1"/>
  <c r="H29" i="32" s="1"/>
  <c r="K21" i="32"/>
  <c r="I29" i="32" l="1"/>
  <c r="G32" i="32"/>
  <c r="B29" i="32"/>
  <c r="I32" i="32"/>
  <c r="C32" i="32"/>
  <c r="C28" i="32" s="1"/>
  <c r="C34" i="32" s="1"/>
  <c r="E32" i="32"/>
  <c r="G29" i="32"/>
  <c r="E29" i="32"/>
  <c r="J32" i="32"/>
  <c r="J28" i="32" s="1"/>
  <c r="C29" i="32"/>
  <c r="F32" i="32"/>
  <c r="J29" i="32"/>
  <c r="B32" i="32"/>
  <c r="F29" i="32"/>
  <c r="D32" i="32"/>
  <c r="D28" i="32" s="1"/>
  <c r="D33" i="32" s="1"/>
  <c r="D29" i="32"/>
  <c r="H32" i="32"/>
  <c r="H28" i="32" s="1"/>
  <c r="H34" i="32" s="1"/>
  <c r="E28" i="32" l="1"/>
  <c r="E34" i="32" s="1"/>
  <c r="C33" i="32"/>
  <c r="F28" i="32"/>
  <c r="H33" i="32"/>
  <c r="G28" i="32"/>
  <c r="B28" i="32"/>
  <c r="D34" i="32"/>
  <c r="I28" i="32"/>
  <c r="E33" i="32"/>
  <c r="I33" i="32" l="1"/>
  <c r="I34" i="32"/>
  <c r="J34" i="32" s="1"/>
  <c r="C40" i="32" s="1"/>
  <c r="G34" i="32"/>
  <c r="G33" i="32"/>
  <c r="F34" i="32"/>
  <c r="F33" i="32"/>
  <c r="B33" i="32"/>
  <c r="B34" i="32"/>
  <c r="H40" i="32" l="1"/>
  <c r="H38" i="32" s="1"/>
  <c r="D40" i="32"/>
  <c r="D38" i="32" s="1"/>
  <c r="J33" i="32"/>
  <c r="G40" i="32"/>
  <c r="F40" i="32"/>
  <c r="E40" i="32"/>
  <c r="E38" i="32" s="1"/>
  <c r="B40" i="32"/>
  <c r="I40" i="32"/>
  <c r="J38" i="32" l="1"/>
  <c r="D41" i="32" s="1"/>
  <c r="D42" i="32" s="1"/>
  <c r="J40" i="32"/>
  <c r="F41" i="32" l="1"/>
  <c r="F42" i="32" s="1"/>
  <c r="B41" i="32"/>
  <c r="B42" i="32" s="1"/>
  <c r="J41" i="32"/>
  <c r="E41" i="32"/>
  <c r="E42" i="32" s="1"/>
  <c r="G41" i="32"/>
  <c r="G42" i="32" s="1"/>
  <c r="I41" i="32"/>
  <c r="I42" i="32" s="1"/>
  <c r="H41" i="32"/>
  <c r="H42" i="32" s="1"/>
  <c r="C41" i="32"/>
  <c r="C42" i="32" s="1"/>
  <c r="J42" i="32" l="1"/>
  <c r="G37" i="32" s="1"/>
  <c r="G36" i="32" s="1"/>
  <c r="G45" i="32" s="1"/>
  <c r="D37" i="32" l="1"/>
  <c r="D36" i="32" s="1"/>
  <c r="D45" i="32" s="1"/>
  <c r="C37" i="32"/>
  <c r="C36" i="32" s="1"/>
  <c r="C45" i="32" s="1"/>
  <c r="I37" i="32"/>
  <c r="I36" i="32" s="1"/>
  <c r="I45" i="32" s="1"/>
  <c r="H37" i="32"/>
  <c r="H36" i="32" s="1"/>
  <c r="H45" i="32" s="1"/>
  <c r="F37" i="32"/>
  <c r="F36" i="32" s="1"/>
  <c r="F45" i="32" s="1"/>
  <c r="B37" i="32"/>
  <c r="B36" i="32" s="1"/>
  <c r="B45" i="32" s="1"/>
  <c r="E37" i="32"/>
  <c r="E36" i="32" s="1"/>
  <c r="E45" i="32" s="1"/>
  <c r="J37" i="32" l="1"/>
  <c r="J36" i="32"/>
  <c r="J45" i="32" s="1"/>
</calcChain>
</file>

<file path=xl/sharedStrings.xml><?xml version="1.0" encoding="utf-8"?>
<sst xmlns="http://schemas.openxmlformats.org/spreadsheetml/2006/main" count="79" uniqueCount="75">
  <si>
    <t>Расчет дотации на выравнивание бюджетной обеспеченности поселений МО "Мелекесский район" Ульяновской области</t>
  </si>
  <si>
    <t>Новомайнское г/поселение</t>
  </si>
  <si>
    <t>Мулловское г/поселение</t>
  </si>
  <si>
    <t>Лебяжинское с/поселение</t>
  </si>
  <si>
    <t>Старосахчинское с/поселение</t>
  </si>
  <si>
    <t>Тиинское с/поселение</t>
  </si>
  <si>
    <t>Новоселкинское с/поселение</t>
  </si>
  <si>
    <t>Николочеремшанское с/поселение</t>
  </si>
  <si>
    <t>Рязановское с/поселение</t>
  </si>
  <si>
    <t>итого по поселениям</t>
  </si>
  <si>
    <t>Примечание</t>
  </si>
  <si>
    <t>Расчет доходного потенциала</t>
  </si>
  <si>
    <t>Налоги по репрезентативной системе, т.р.</t>
  </si>
  <si>
    <t>Основные налоги</t>
  </si>
  <si>
    <t>Налог на доходы физических лиц</t>
  </si>
  <si>
    <t>Налог на имущество физических лиц</t>
  </si>
  <si>
    <t>Земельный налог</t>
  </si>
  <si>
    <t>ИТОГО налоговый  потенциал, т.р.</t>
  </si>
  <si>
    <t>Дотация из бюджета района за счет субвенции из областного бюджета, т.р.</t>
  </si>
  <si>
    <t>Д=Субвенция / Численность населения в поселениях * Численность поселения</t>
  </si>
  <si>
    <t>Итого доходный потенциал, т.р.</t>
  </si>
  <si>
    <t>ДП = Налог.потенциал + дотация из бюджета области</t>
  </si>
  <si>
    <t>доходный потенциал на одного человека</t>
  </si>
  <si>
    <t>Индекс доходного потенциала (ИДП)</t>
  </si>
  <si>
    <t>ИДП=(ДПпос/числ пос)/(ДП общий/числ.общ)</t>
  </si>
  <si>
    <t>Расчет бюджетных расходов</t>
  </si>
  <si>
    <t>Расходы по репрезентативной системе, т.р.</t>
  </si>
  <si>
    <t>Доля расходов в составе репрезентивной системы</t>
  </si>
  <si>
    <t>Органы местного самоуправления</t>
  </si>
  <si>
    <t>Содержание объектов культуры</t>
  </si>
  <si>
    <t>Итого расходов по репрезентативной системе</t>
  </si>
  <si>
    <t>коэффициент масштаба, КМ (численность постоянного населения поселений)</t>
  </si>
  <si>
    <t>Чср.-средняя численность населения</t>
  </si>
  <si>
    <t>коэффициент дисперсности расселения  КД,(удельный вес постоянного населения поселений, проживающего в населенных пунктах численностью населения  менее 500 человек, в общей численности населения поселений)</t>
  </si>
  <si>
    <t>КД=1+Численность малых сел/Численность поселения</t>
  </si>
  <si>
    <t>Численность постоянного населения поселений, проживающего в населенных пунктах численностью населения  менее 500 человек, в общей численности населения поселений</t>
  </si>
  <si>
    <t>Расходы на оплату коммунальных услуг бюджетным учреждениям</t>
  </si>
  <si>
    <t>Коэффициент стоимости предоставления коммунальных услуг бюджетным учреждениям поселения</t>
  </si>
  <si>
    <t>КСКУ=(РОКУпос./Чпос.)/РОКУрайона/Чрайона</t>
  </si>
  <si>
    <t>Индекс бюджетных расходов поселений по отдельному виду расходов (ИБР)</t>
  </si>
  <si>
    <t>Доля расходов *ИБР по виду расходов</t>
  </si>
  <si>
    <t>КМпос./КМ ср.</t>
  </si>
  <si>
    <t>КДпос./КДср.</t>
  </si>
  <si>
    <t>Объем дотаций из бюджета МО "Мелекесский район" за счет собственных средств</t>
  </si>
  <si>
    <t>Прогноз собственных доходов, т.р</t>
  </si>
  <si>
    <t>Прогноз собственных доходов на 1 человека</t>
  </si>
  <si>
    <t>руб.</t>
  </si>
  <si>
    <t>Всего дотация</t>
  </si>
  <si>
    <t>Содержание пожарных депо</t>
  </si>
  <si>
    <t>Бюджетная обеспеченность по каждому пос. ИДП/ИБР</t>
  </si>
  <si>
    <t>Дотj=Дот1j+Дот2j</t>
  </si>
  <si>
    <t>дотация 2 часть</t>
  </si>
  <si>
    <t>дотация 1 часть</t>
  </si>
  <si>
    <t>Дот1j=Т1j*П</t>
  </si>
  <si>
    <t>Утверждаем НПА</t>
  </si>
  <si>
    <t>Т1j=(ПДпмр/Н)*(У1-БО1j)*ИБРj*Нj</t>
  </si>
  <si>
    <t>Уровень бюджетной обеспеченности пос. после распределения 1 ч.дот. Из РФФПП (БО1j)</t>
  </si>
  <si>
    <r>
      <t>Объем средств, необх. до доведения БОпос. до БО сред.,  т.р.</t>
    </r>
    <r>
      <rPr>
        <b/>
        <sz val="8"/>
        <rFont val="Times New Roman"/>
        <family val="1"/>
        <charset val="204"/>
      </rPr>
      <t xml:space="preserve"> (Т1j) </t>
    </r>
  </si>
  <si>
    <r>
      <t>БО1j=БОj+Дот1j/ИБРj*Нj*(</t>
    </r>
    <r>
      <rPr>
        <sz val="10"/>
        <rFont val="Calibri"/>
        <family val="2"/>
        <charset val="204"/>
      </rPr>
      <t>∑ДП</t>
    </r>
    <r>
      <rPr>
        <sz val="10"/>
        <rFont val="Times New Roman"/>
        <family val="1"/>
        <charset val="204"/>
      </rPr>
      <t>j+∑Дот1j)/Н)</t>
    </r>
  </si>
  <si>
    <t>У1=(БО2max+БО2min)/4</t>
  </si>
  <si>
    <t>У1=(БО1max+БО1min)/2</t>
  </si>
  <si>
    <t>Т2j=(ПДпмр/Н)*(1,0-БО1j)*ИБРj*Нj</t>
  </si>
  <si>
    <t>расходы кул./числ.нас.пос.</t>
  </si>
  <si>
    <t>Чср.=Числ.района/8</t>
  </si>
  <si>
    <t>КМ=(0.6*Чпос.+0.4*Чср)/Чпос.</t>
  </si>
  <si>
    <t>Дотация на выравнивание уровня расчётной бюджетной обеспеченности Д</t>
  </si>
  <si>
    <t>МКУ Техническое обслуживание</t>
  </si>
  <si>
    <t xml:space="preserve">Содержание пожарных депо </t>
  </si>
  <si>
    <t>Объем средств, необх. до доведения уровня БОпос. До второго уровня БО  (Т2j)</t>
  </si>
  <si>
    <t>Дот2j=(РФФПП+SUMдот1j)*T2j/T2</t>
  </si>
  <si>
    <t>П=0,1</t>
  </si>
  <si>
    <t>на 2018 год                                                 (расчет к бюджету)</t>
  </si>
  <si>
    <t>Численность населения на 01.01.2017г., чел.</t>
  </si>
  <si>
    <t xml:space="preserve">Начальник Финансового управления администрации МО "Мелекесский район"                                                                     </t>
  </si>
  <si>
    <t>А.В.Щукин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</si>
</sst>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#,##0.0"/>
    <numFmt numFmtId="167" formatCode="#,##0.000"/>
    <numFmt numFmtId="168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name val="Calibri"/>
      <family val="2"/>
      <charset val="204"/>
    </font>
    <font>
      <sz val="7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4" xfId="0" applyFont="1" applyFill="1" applyBorder="1" applyAlignment="1">
      <alignment vertical="top" wrapText="1"/>
    </xf>
    <xf numFmtId="0" fontId="5" fillId="0" borderId="1" xfId="0" applyFont="1" applyFill="1" applyBorder="1"/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/>
    <xf numFmtId="2" fontId="1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3" fillId="0" borderId="0" xfId="0" applyFont="1" applyFill="1"/>
    <xf numFmtId="0" fontId="1" fillId="0" borderId="1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10" fillId="0" borderId="0" xfId="0" applyFont="1" applyFill="1"/>
    <xf numFmtId="2" fontId="10" fillId="0" borderId="0" xfId="0" applyNumberFormat="1" applyFont="1" applyFill="1"/>
    <xf numFmtId="0" fontId="2" fillId="0" borderId="6" xfId="0" applyFont="1" applyFill="1" applyBorder="1" applyAlignment="1">
      <alignment wrapText="1"/>
    </xf>
    <xf numFmtId="0" fontId="6" fillId="0" borderId="6" xfId="0" applyFont="1" applyFill="1" applyBorder="1"/>
    <xf numFmtId="0" fontId="1" fillId="0" borderId="4" xfId="0" applyFont="1" applyFill="1" applyBorder="1"/>
    <xf numFmtId="0" fontId="6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6" fillId="0" borderId="9" xfId="0" applyFont="1" applyFill="1" applyBorder="1"/>
    <xf numFmtId="0" fontId="2" fillId="3" borderId="5" xfId="0" applyFont="1" applyFill="1" applyBorder="1" applyAlignment="1">
      <alignment vertical="top" wrapText="1"/>
    </xf>
    <xf numFmtId="0" fontId="3" fillId="0" borderId="6" xfId="0" applyFont="1" applyFill="1" applyBorder="1"/>
    <xf numFmtId="0" fontId="5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9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/>
    <xf numFmtId="0" fontId="11" fillId="0" borderId="3" xfId="0" applyFont="1" applyFill="1" applyBorder="1"/>
    <xf numFmtId="166" fontId="10" fillId="0" borderId="1" xfId="0" applyNumberFormat="1" applyFont="1" applyFill="1" applyBorder="1"/>
    <xf numFmtId="166" fontId="11" fillId="0" borderId="3" xfId="0" applyNumberFormat="1" applyFont="1" applyFill="1" applyBorder="1"/>
    <xf numFmtId="166" fontId="11" fillId="0" borderId="6" xfId="0" applyNumberFormat="1" applyFont="1" applyFill="1" applyBorder="1"/>
    <xf numFmtId="166" fontId="11" fillId="0" borderId="10" xfId="0" applyNumberFormat="1" applyFont="1" applyFill="1" applyBorder="1"/>
    <xf numFmtId="167" fontId="11" fillId="0" borderId="8" xfId="0" applyNumberFormat="1" applyFont="1" applyFill="1" applyBorder="1" applyAlignment="1">
      <alignment vertical="center"/>
    </xf>
    <xf numFmtId="167" fontId="11" fillId="0" borderId="11" xfId="0" applyNumberFormat="1" applyFont="1" applyFill="1" applyBorder="1" applyAlignment="1">
      <alignment vertical="center"/>
    </xf>
    <xf numFmtId="166" fontId="11" fillId="5" borderId="4" xfId="0" applyNumberFormat="1" applyFont="1" applyFill="1" applyBorder="1"/>
    <xf numFmtId="165" fontId="11" fillId="0" borderId="1" xfId="0" applyNumberFormat="1" applyFont="1" applyFill="1" applyBorder="1"/>
    <xf numFmtId="165" fontId="11" fillId="5" borderId="1" xfId="0" applyNumberFormat="1" applyFont="1" applyFill="1" applyBorder="1"/>
    <xf numFmtId="166" fontId="10" fillId="5" borderId="1" xfId="0" applyNumberFormat="1" applyFont="1" applyFill="1" applyBorder="1"/>
    <xf numFmtId="166" fontId="11" fillId="0" borderId="1" xfId="0" applyNumberFormat="1" applyFont="1" applyFill="1" applyBorder="1"/>
    <xf numFmtId="166" fontId="11" fillId="5" borderId="1" xfId="0" applyNumberFormat="1" applyFont="1" applyFill="1" applyBorder="1"/>
    <xf numFmtId="168" fontId="10" fillId="0" borderId="1" xfId="0" applyNumberFormat="1" applyFont="1" applyFill="1" applyBorder="1" applyAlignment="1"/>
    <xf numFmtId="168" fontId="10" fillId="5" borderId="1" xfId="0" applyNumberFormat="1" applyFont="1" applyFill="1" applyBorder="1" applyAlignment="1"/>
    <xf numFmtId="0" fontId="10" fillId="0" borderId="1" xfId="0" applyFont="1" applyFill="1" applyBorder="1" applyAlignment="1"/>
    <xf numFmtId="0" fontId="11" fillId="0" borderId="3" xfId="0" applyFont="1" applyFill="1" applyBorder="1" applyAlignment="1">
      <alignment horizontal="right" wrapText="1"/>
    </xf>
    <xf numFmtId="168" fontId="11" fillId="0" borderId="1" xfId="0" applyNumberFormat="1" applyFont="1" applyFill="1" applyBorder="1"/>
    <xf numFmtId="0" fontId="10" fillId="5" borderId="1" xfId="0" applyFont="1" applyFill="1" applyBorder="1"/>
    <xf numFmtId="168" fontId="11" fillId="5" borderId="1" xfId="0" applyNumberFormat="1" applyFont="1" applyFill="1" applyBorder="1"/>
    <xf numFmtId="168" fontId="10" fillId="0" borderId="1" xfId="0" applyNumberFormat="1" applyFont="1" applyFill="1" applyBorder="1"/>
    <xf numFmtId="168" fontId="12" fillId="0" borderId="1" xfId="0" applyNumberFormat="1" applyFont="1" applyFill="1" applyBorder="1"/>
    <xf numFmtId="168" fontId="13" fillId="2" borderId="1" xfId="0" applyNumberFormat="1" applyFont="1" applyFill="1" applyBorder="1"/>
    <xf numFmtId="168" fontId="13" fillId="0" borderId="1" xfId="0" applyNumberFormat="1" applyFont="1" applyFill="1" applyBorder="1"/>
    <xf numFmtId="2" fontId="11" fillId="0" borderId="6" xfId="0" applyNumberFormat="1" applyFont="1" applyFill="1" applyBorder="1"/>
    <xf numFmtId="167" fontId="11" fillId="3" borderId="8" xfId="0" applyNumberFormat="1" applyFont="1" applyFill="1" applyBorder="1" applyAlignment="1">
      <alignment vertical="center"/>
    </xf>
    <xf numFmtId="4" fontId="11" fillId="3" borderId="8" xfId="0" applyNumberFormat="1" applyFont="1" applyFill="1" applyBorder="1" applyAlignment="1">
      <alignment vertical="center"/>
    </xf>
    <xf numFmtId="164" fontId="10" fillId="3" borderId="4" xfId="0" applyNumberFormat="1" applyFont="1" applyFill="1" applyBorder="1"/>
    <xf numFmtId="164" fontId="10" fillId="3" borderId="1" xfId="0" applyNumberFormat="1" applyFont="1" applyFill="1" applyBorder="1"/>
    <xf numFmtId="168" fontId="10" fillId="3" borderId="1" xfId="0" applyNumberFormat="1" applyFont="1" applyFill="1" applyBorder="1"/>
    <xf numFmtId="164" fontId="10" fillId="5" borderId="1" xfId="0" applyNumberFormat="1" applyFont="1" applyFill="1" applyBorder="1"/>
    <xf numFmtId="2" fontId="10" fillId="5" borderId="1" xfId="0" applyNumberFormat="1" applyFont="1" applyFill="1" applyBorder="1"/>
    <xf numFmtId="164" fontId="10" fillId="0" borderId="1" xfId="0" applyNumberFormat="1" applyFont="1" applyFill="1" applyBorder="1"/>
    <xf numFmtId="166" fontId="10" fillId="4" borderId="1" xfId="0" applyNumberFormat="1" applyFont="1" applyFill="1" applyBorder="1"/>
    <xf numFmtId="167" fontId="11" fillId="0" borderId="1" xfId="0" applyNumberFormat="1" applyFont="1" applyFill="1" applyBorder="1"/>
    <xf numFmtId="0" fontId="10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="56" zoomScaleNormal="5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5" sqref="K25"/>
    </sheetView>
  </sheetViews>
  <sheetFormatPr defaultRowHeight="15" x14ac:dyDescent="0.25"/>
  <cols>
    <col min="1" max="1" width="54" customWidth="1"/>
    <col min="2" max="2" width="14.140625" customWidth="1"/>
    <col min="3" max="3" width="15.85546875" customWidth="1"/>
    <col min="4" max="4" width="15.42578125" customWidth="1"/>
    <col min="5" max="5" width="15.28515625" customWidth="1"/>
    <col min="6" max="6" width="16.7109375" customWidth="1"/>
    <col min="7" max="7" width="16.5703125" customWidth="1"/>
    <col min="8" max="8" width="17.140625" customWidth="1"/>
    <col min="9" max="9" width="13.42578125" customWidth="1"/>
    <col min="10" max="10" width="15.85546875" customWidth="1"/>
    <col min="11" max="11" width="43.140625" customWidth="1"/>
  </cols>
  <sheetData>
    <row r="1" spans="1:11" ht="15.75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 x14ac:dyDescent="0.25">
      <c r="A2" s="88" t="s">
        <v>71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25.15" customHeight="1" x14ac:dyDescent="0.25">
      <c r="A3" s="2"/>
      <c r="B3" s="85" t="s">
        <v>1</v>
      </c>
      <c r="C3" s="85" t="s">
        <v>2</v>
      </c>
      <c r="D3" s="85" t="s">
        <v>3</v>
      </c>
      <c r="E3" s="85" t="s">
        <v>4</v>
      </c>
      <c r="F3" s="85" t="s">
        <v>5</v>
      </c>
      <c r="G3" s="85" t="s">
        <v>6</v>
      </c>
      <c r="H3" s="85" t="s">
        <v>7</v>
      </c>
      <c r="I3" s="85" t="s">
        <v>8</v>
      </c>
      <c r="J3" s="86" t="s">
        <v>9</v>
      </c>
      <c r="K3" s="85" t="s">
        <v>10</v>
      </c>
    </row>
    <row r="4" spans="1:11" ht="15.75" x14ac:dyDescent="0.25">
      <c r="A4" s="2" t="s">
        <v>72</v>
      </c>
      <c r="B4" s="44">
        <v>6740</v>
      </c>
      <c r="C4" s="44">
        <v>6174</v>
      </c>
      <c r="D4" s="44">
        <v>4334</v>
      </c>
      <c r="E4" s="44">
        <v>1863</v>
      </c>
      <c r="F4" s="44">
        <v>4423</v>
      </c>
      <c r="G4" s="44">
        <v>5082</v>
      </c>
      <c r="H4" s="44">
        <v>2391</v>
      </c>
      <c r="I4" s="44">
        <v>3677</v>
      </c>
      <c r="J4" s="45">
        <f>B4+C4+D4+E4+F4+G4+H4+I4</f>
        <v>34684</v>
      </c>
      <c r="K4" s="3"/>
    </row>
    <row r="5" spans="1:11" ht="15.75" x14ac:dyDescent="0.25">
      <c r="A5" s="2" t="s">
        <v>11</v>
      </c>
      <c r="B5" s="46"/>
      <c r="C5" s="46"/>
      <c r="D5" s="46"/>
      <c r="E5" s="46"/>
      <c r="F5" s="46"/>
      <c r="G5" s="46"/>
      <c r="H5" s="46"/>
      <c r="I5" s="46"/>
      <c r="J5" s="47"/>
      <c r="K5" s="4"/>
    </row>
    <row r="6" spans="1:11" ht="15.75" x14ac:dyDescent="0.25">
      <c r="A6" s="5" t="s">
        <v>12</v>
      </c>
      <c r="B6" s="48"/>
      <c r="C6" s="48"/>
      <c r="D6" s="48"/>
      <c r="E6" s="48"/>
      <c r="F6" s="48"/>
      <c r="G6" s="48"/>
      <c r="H6" s="48"/>
      <c r="I6" s="48"/>
      <c r="J6" s="49"/>
      <c r="K6" s="4" t="s">
        <v>13</v>
      </c>
    </row>
    <row r="7" spans="1:11" ht="15" customHeight="1" x14ac:dyDescent="0.25">
      <c r="A7" s="6" t="s">
        <v>14</v>
      </c>
      <c r="B7" s="50">
        <v>5402.5</v>
      </c>
      <c r="C7" s="50">
        <v>4351.5</v>
      </c>
      <c r="D7" s="50">
        <v>550</v>
      </c>
      <c r="E7" s="50">
        <v>400</v>
      </c>
      <c r="F7" s="50">
        <v>900</v>
      </c>
      <c r="G7" s="50">
        <v>2500</v>
      </c>
      <c r="H7" s="50">
        <v>430</v>
      </c>
      <c r="I7" s="50">
        <v>2700</v>
      </c>
      <c r="J7" s="51">
        <f>SUM(B7:I7)</f>
        <v>17234</v>
      </c>
      <c r="K7" s="4"/>
    </row>
    <row r="8" spans="1:11" ht="13.9" customHeight="1" x14ac:dyDescent="0.25">
      <c r="A8" s="6" t="s">
        <v>15</v>
      </c>
      <c r="B8" s="50">
        <v>800</v>
      </c>
      <c r="C8" s="50">
        <v>784</v>
      </c>
      <c r="D8" s="50">
        <v>650</v>
      </c>
      <c r="E8" s="50">
        <v>200</v>
      </c>
      <c r="F8" s="50">
        <v>450</v>
      </c>
      <c r="G8" s="50">
        <v>550</v>
      </c>
      <c r="H8" s="50">
        <v>200</v>
      </c>
      <c r="I8" s="50">
        <v>450</v>
      </c>
      <c r="J8" s="51">
        <f>SUM(B8:I8)</f>
        <v>4084</v>
      </c>
      <c r="K8" s="4"/>
    </row>
    <row r="9" spans="1:11" ht="13.15" customHeight="1" x14ac:dyDescent="0.25">
      <c r="A9" s="6" t="s">
        <v>16</v>
      </c>
      <c r="B9" s="50">
        <v>3250</v>
      </c>
      <c r="C9" s="50">
        <v>2800</v>
      </c>
      <c r="D9" s="50">
        <v>3400</v>
      </c>
      <c r="E9" s="50">
        <v>1600</v>
      </c>
      <c r="F9" s="50">
        <v>3000</v>
      </c>
      <c r="G9" s="50">
        <v>7200</v>
      </c>
      <c r="H9" s="50">
        <v>1350</v>
      </c>
      <c r="I9" s="50">
        <v>6000</v>
      </c>
      <c r="J9" s="51">
        <f>SUM(B9:I9)</f>
        <v>28600</v>
      </c>
      <c r="K9" s="4"/>
    </row>
    <row r="10" spans="1:11" ht="18.600000000000001" customHeight="1" thickBot="1" x14ac:dyDescent="0.3">
      <c r="A10" s="33" t="s">
        <v>17</v>
      </c>
      <c r="B10" s="52">
        <f t="shared" ref="B10:I10" si="0">SUM(B7:B9)</f>
        <v>9452.5</v>
      </c>
      <c r="C10" s="52">
        <f t="shared" si="0"/>
        <v>7935.5</v>
      </c>
      <c r="D10" s="52">
        <f t="shared" si="0"/>
        <v>4600</v>
      </c>
      <c r="E10" s="52">
        <f t="shared" si="0"/>
        <v>2200</v>
      </c>
      <c r="F10" s="52">
        <f t="shared" si="0"/>
        <v>4350</v>
      </c>
      <c r="G10" s="52">
        <f t="shared" si="0"/>
        <v>10250</v>
      </c>
      <c r="H10" s="52">
        <f t="shared" si="0"/>
        <v>1980</v>
      </c>
      <c r="I10" s="52">
        <f t="shared" si="0"/>
        <v>9150</v>
      </c>
      <c r="J10" s="53">
        <f>SUM(B10:I10)</f>
        <v>49918</v>
      </c>
      <c r="K10" s="34"/>
    </row>
    <row r="11" spans="1:11" ht="21.6" customHeight="1" thickBot="1" x14ac:dyDescent="0.3">
      <c r="A11" s="38" t="s">
        <v>18</v>
      </c>
      <c r="B11" s="54">
        <f>($J$11/$J$4)*B4</f>
        <v>2121.6522719409527</v>
      </c>
      <c r="C11" s="54">
        <f t="shared" ref="C11:I11" si="1">($J$11/$J$4)*C4</f>
        <v>1943.483846730481</v>
      </c>
      <c r="D11" s="54">
        <f t="shared" si="1"/>
        <v>1364.2790721946719</v>
      </c>
      <c r="E11" s="54">
        <f t="shared" si="1"/>
        <v>586.4448342175067</v>
      </c>
      <c r="F11" s="54">
        <f t="shared" si="1"/>
        <v>1392.2949553108062</v>
      </c>
      <c r="G11" s="54">
        <f t="shared" si="1"/>
        <v>1599.7384044516205</v>
      </c>
      <c r="H11" s="54">
        <f t="shared" si="1"/>
        <v>752.65142169299963</v>
      </c>
      <c r="I11" s="54">
        <f t="shared" si="1"/>
        <v>1157.4651934609619</v>
      </c>
      <c r="J11" s="55">
        <v>10918.01</v>
      </c>
      <c r="K11" s="37" t="s">
        <v>19</v>
      </c>
    </row>
    <row r="12" spans="1:11" ht="20.45" customHeight="1" x14ac:dyDescent="0.25">
      <c r="A12" s="35" t="s">
        <v>20</v>
      </c>
      <c r="B12" s="56">
        <f t="shared" ref="B12:J12" si="2">B10+B11</f>
        <v>11574.152271940953</v>
      </c>
      <c r="C12" s="56">
        <f t="shared" si="2"/>
        <v>9878.9838467304817</v>
      </c>
      <c r="D12" s="56">
        <f t="shared" si="2"/>
        <v>5964.2790721946722</v>
      </c>
      <c r="E12" s="56">
        <f t="shared" si="2"/>
        <v>2786.4448342175065</v>
      </c>
      <c r="F12" s="56">
        <f t="shared" si="2"/>
        <v>5742.2949553108065</v>
      </c>
      <c r="G12" s="56">
        <f t="shared" si="2"/>
        <v>11849.73840445162</v>
      </c>
      <c r="H12" s="56">
        <f t="shared" si="2"/>
        <v>2732.6514216929995</v>
      </c>
      <c r="I12" s="56">
        <f t="shared" si="2"/>
        <v>10307.465193460961</v>
      </c>
      <c r="J12" s="56">
        <f t="shared" si="2"/>
        <v>60836.01</v>
      </c>
      <c r="K12" s="36" t="s">
        <v>21</v>
      </c>
    </row>
    <row r="13" spans="1:11" ht="15.75" x14ac:dyDescent="0.25">
      <c r="A13" s="4" t="s">
        <v>22</v>
      </c>
      <c r="B13" s="57">
        <f>B12/B4</f>
        <v>1.7172332747686874</v>
      </c>
      <c r="C13" s="57">
        <f t="shared" ref="C13:J13" si="3">C12/C4</f>
        <v>1.6000945653920444</v>
      </c>
      <c r="D13" s="57">
        <f t="shared" si="3"/>
        <v>1.3761603766023702</v>
      </c>
      <c r="E13" s="57">
        <f t="shared" si="3"/>
        <v>1.4956762395155698</v>
      </c>
      <c r="F13" s="57">
        <f t="shared" si="3"/>
        <v>1.2982805686888552</v>
      </c>
      <c r="G13" s="57">
        <f t="shared" si="3"/>
        <v>2.3317076750199961</v>
      </c>
      <c r="H13" s="57">
        <f t="shared" si="3"/>
        <v>1.1428905987841904</v>
      </c>
      <c r="I13" s="57">
        <f t="shared" si="3"/>
        <v>2.8032268679523962</v>
      </c>
      <c r="J13" s="57">
        <f t="shared" si="3"/>
        <v>1.7540078998962059</v>
      </c>
      <c r="K13" s="8"/>
    </row>
    <row r="14" spans="1:11" ht="18.600000000000001" customHeight="1" x14ac:dyDescent="0.25">
      <c r="A14" s="40" t="s">
        <v>23</v>
      </c>
      <c r="B14" s="58">
        <f>(B12/B4)/($J$12/$J$4)</f>
        <v>0.97903394555423917</v>
      </c>
      <c r="C14" s="58">
        <f t="shared" ref="C14:J14" si="4">(C12/C4)/($J$12/$J$4)</f>
        <v>0.91225048957118759</v>
      </c>
      <c r="D14" s="58">
        <f t="shared" si="4"/>
        <v>0.78458048945150427</v>
      </c>
      <c r="E14" s="58">
        <f t="shared" si="4"/>
        <v>0.85271921500700032</v>
      </c>
      <c r="F14" s="58">
        <f t="shared" si="4"/>
        <v>0.7401794306432038</v>
      </c>
      <c r="G14" s="58">
        <f t="shared" si="4"/>
        <v>1.329359847899189</v>
      </c>
      <c r="H14" s="58">
        <f t="shared" si="4"/>
        <v>0.65158805661697505</v>
      </c>
      <c r="I14" s="58">
        <f t="shared" si="4"/>
        <v>1.5981837186242309</v>
      </c>
      <c r="J14" s="58">
        <f t="shared" si="4"/>
        <v>1</v>
      </c>
      <c r="K14" s="8" t="s">
        <v>24</v>
      </c>
    </row>
    <row r="15" spans="1:11" ht="15" customHeight="1" x14ac:dyDescent="0.25">
      <c r="A15" s="22" t="s">
        <v>25</v>
      </c>
      <c r="B15" s="48"/>
      <c r="C15" s="48"/>
      <c r="D15" s="48"/>
      <c r="E15" s="48"/>
      <c r="F15" s="48"/>
      <c r="G15" s="48"/>
      <c r="H15" s="48"/>
      <c r="I15" s="48"/>
      <c r="J15" s="48"/>
      <c r="K15" s="4"/>
    </row>
    <row r="16" spans="1:11" ht="14.45" customHeight="1" x14ac:dyDescent="0.25">
      <c r="A16" s="5" t="s">
        <v>26</v>
      </c>
      <c r="B16" s="48"/>
      <c r="C16" s="48"/>
      <c r="D16" s="48"/>
      <c r="E16" s="48"/>
      <c r="F16" s="48"/>
      <c r="G16" s="48"/>
      <c r="H16" s="48"/>
      <c r="I16" s="48"/>
      <c r="J16" s="48"/>
      <c r="K16" s="8" t="s">
        <v>27</v>
      </c>
    </row>
    <row r="17" spans="1:11" ht="15.75" x14ac:dyDescent="0.25">
      <c r="A17" s="4" t="s">
        <v>28</v>
      </c>
      <c r="B17" s="50">
        <v>3347.1</v>
      </c>
      <c r="C17" s="50">
        <v>3060.3</v>
      </c>
      <c r="D17" s="50">
        <v>1887.5</v>
      </c>
      <c r="E17" s="50">
        <v>1404.2</v>
      </c>
      <c r="F17" s="50">
        <v>2570.9</v>
      </c>
      <c r="G17" s="50">
        <v>3542.6</v>
      </c>
      <c r="H17" s="50">
        <v>1648.8</v>
      </c>
      <c r="I17" s="50">
        <v>3636</v>
      </c>
      <c r="J17" s="59">
        <f>SUM(B17:I17)</f>
        <v>21097.4</v>
      </c>
      <c r="K17" s="9">
        <f>J17/J21</f>
        <v>0.31841671546639461</v>
      </c>
    </row>
    <row r="18" spans="1:11" ht="15.75" x14ac:dyDescent="0.25">
      <c r="A18" s="4" t="s">
        <v>29</v>
      </c>
      <c r="B18" s="50">
        <v>2700.4</v>
      </c>
      <c r="C18" s="50">
        <v>1805</v>
      </c>
      <c r="D18" s="50">
        <v>1637.1</v>
      </c>
      <c r="E18" s="50">
        <v>673.4</v>
      </c>
      <c r="F18" s="50">
        <v>2580.6999999999998</v>
      </c>
      <c r="G18" s="50">
        <v>4493.3</v>
      </c>
      <c r="H18" s="50">
        <v>660.6</v>
      </c>
      <c r="I18" s="50">
        <v>3834.5</v>
      </c>
      <c r="J18" s="59">
        <f t="shared" ref="J18:J19" si="5">SUM(B18:I18)</f>
        <v>18385</v>
      </c>
      <c r="K18" s="9">
        <f>J18/J21</f>
        <v>0.27747927772377945</v>
      </c>
    </row>
    <row r="19" spans="1:11" ht="15.75" x14ac:dyDescent="0.25">
      <c r="A19" s="4" t="s">
        <v>67</v>
      </c>
      <c r="B19" s="50">
        <v>1031.9000000000001</v>
      </c>
      <c r="C19" s="50"/>
      <c r="D19" s="50">
        <v>205</v>
      </c>
      <c r="E19" s="50">
        <v>546.79999999999995</v>
      </c>
      <c r="F19" s="50">
        <v>583.29999999999995</v>
      </c>
      <c r="G19" s="50"/>
      <c r="H19" s="50">
        <v>429.8</v>
      </c>
      <c r="I19" s="50"/>
      <c r="J19" s="59">
        <f t="shared" si="5"/>
        <v>2796.8</v>
      </c>
      <c r="K19" s="9">
        <f>J19/J21</f>
        <v>4.2211261568554065E-2</v>
      </c>
    </row>
    <row r="20" spans="1:11" ht="15.75" x14ac:dyDescent="0.25">
      <c r="A20" s="4" t="s">
        <v>66</v>
      </c>
      <c r="B20" s="48">
        <v>3784.8</v>
      </c>
      <c r="C20" s="48">
        <v>5465.6</v>
      </c>
      <c r="D20" s="48">
        <v>2769.9</v>
      </c>
      <c r="E20" s="48">
        <v>1440.9</v>
      </c>
      <c r="F20" s="48">
        <v>1666.4</v>
      </c>
      <c r="G20" s="48">
        <v>3599</v>
      </c>
      <c r="H20" s="48">
        <v>1836.8</v>
      </c>
      <c r="I20" s="48">
        <v>3414.6</v>
      </c>
      <c r="J20" s="59">
        <f>SUM(B20:I20)</f>
        <v>23977.999999999996</v>
      </c>
      <c r="K20" s="9">
        <f>J20/J21</f>
        <v>0.36189274524127185</v>
      </c>
    </row>
    <row r="21" spans="1:11" ht="15.75" x14ac:dyDescent="0.25">
      <c r="A21" s="10" t="s">
        <v>30</v>
      </c>
      <c r="B21" s="60">
        <f t="shared" ref="B21:J21" si="6">SUM(B17:B20)</f>
        <v>10864.2</v>
      </c>
      <c r="C21" s="60">
        <f t="shared" si="6"/>
        <v>10330.900000000001</v>
      </c>
      <c r="D21" s="60">
        <f t="shared" si="6"/>
        <v>6499.5</v>
      </c>
      <c r="E21" s="60">
        <f t="shared" si="6"/>
        <v>4065.2999999999997</v>
      </c>
      <c r="F21" s="60">
        <f t="shared" si="6"/>
        <v>7401.3000000000011</v>
      </c>
      <c r="G21" s="60">
        <f t="shared" si="6"/>
        <v>11634.9</v>
      </c>
      <c r="H21" s="60">
        <f t="shared" si="6"/>
        <v>4576</v>
      </c>
      <c r="I21" s="60">
        <f t="shared" si="6"/>
        <v>10885.1</v>
      </c>
      <c r="J21" s="61">
        <f t="shared" si="6"/>
        <v>66257.2</v>
      </c>
      <c r="K21" s="11">
        <f>SUM(K17:K20)</f>
        <v>1</v>
      </c>
    </row>
    <row r="22" spans="1:11" ht="13.9" customHeight="1" x14ac:dyDescent="0.25">
      <c r="A22" s="8" t="s">
        <v>31</v>
      </c>
      <c r="B22" s="62">
        <f>(0.6*B4+0.4*$J$23)/B4</f>
        <v>0.85729970326409488</v>
      </c>
      <c r="C22" s="62">
        <f t="shared" ref="C22:I22" si="7">(0.6*C4+0.4*$J$23)/C4</f>
        <v>0.88088759313249099</v>
      </c>
      <c r="D22" s="62">
        <f t="shared" si="7"/>
        <v>1.0001384402399631</v>
      </c>
      <c r="E22" s="62">
        <f t="shared" si="7"/>
        <v>1.5308641975308641</v>
      </c>
      <c r="F22" s="62">
        <f t="shared" si="7"/>
        <v>0.99208681890119832</v>
      </c>
      <c r="G22" s="62">
        <f t="shared" si="7"/>
        <v>0.9412436048799685</v>
      </c>
      <c r="H22" s="62">
        <f t="shared" si="7"/>
        <v>1.3253032204098705</v>
      </c>
      <c r="I22" s="62">
        <f t="shared" si="7"/>
        <v>1.0716344846342125</v>
      </c>
      <c r="J22" s="63">
        <f>(B22+C22+D22+E22+F22+G22+H22+I22)/8</f>
        <v>1.0749322578740828</v>
      </c>
      <c r="K22" s="21" t="s">
        <v>64</v>
      </c>
    </row>
    <row r="23" spans="1:11" ht="16.149999999999999" customHeight="1" x14ac:dyDescent="0.25">
      <c r="A23" s="8" t="s">
        <v>32</v>
      </c>
      <c r="B23" s="64"/>
      <c r="C23" s="64"/>
      <c r="D23" s="64"/>
      <c r="E23" s="64"/>
      <c r="F23" s="64"/>
      <c r="G23" s="64"/>
      <c r="H23" s="64"/>
      <c r="I23" s="64"/>
      <c r="J23" s="65">
        <f>J4/8</f>
        <v>4335.5</v>
      </c>
      <c r="K23" s="13" t="s">
        <v>63</v>
      </c>
    </row>
    <row r="24" spans="1:11" ht="33" customHeight="1" x14ac:dyDescent="0.25">
      <c r="A24" s="8" t="s">
        <v>33</v>
      </c>
      <c r="B24" s="66">
        <f t="shared" ref="B24:J24" si="8">1+B25/B4</f>
        <v>1.0761127596439168</v>
      </c>
      <c r="C24" s="66">
        <f t="shared" si="8"/>
        <v>1.0396825396825398</v>
      </c>
      <c r="D24" s="66">
        <f t="shared" si="8"/>
        <v>1.3869404706968158</v>
      </c>
      <c r="E24" s="66">
        <f t="shared" si="8"/>
        <v>1.5448201825013419</v>
      </c>
      <c r="F24" s="66">
        <f t="shared" si="8"/>
        <v>1.1370110784535383</v>
      </c>
      <c r="G24" s="66">
        <f t="shared" si="8"/>
        <v>1.3541912632821724</v>
      </c>
      <c r="H24" s="66">
        <f t="shared" si="8"/>
        <v>1.0740276035131744</v>
      </c>
      <c r="I24" s="66">
        <f t="shared" si="8"/>
        <v>1.1762306227903183</v>
      </c>
      <c r="J24" s="66">
        <f t="shared" si="8"/>
        <v>1.1926248414254412</v>
      </c>
      <c r="K24" s="14" t="s">
        <v>34</v>
      </c>
    </row>
    <row r="25" spans="1:11" ht="39.6" customHeight="1" x14ac:dyDescent="0.25">
      <c r="A25" s="39" t="s">
        <v>35</v>
      </c>
      <c r="B25" s="67">
        <v>513</v>
      </c>
      <c r="C25" s="67">
        <v>245</v>
      </c>
      <c r="D25" s="67">
        <v>1677</v>
      </c>
      <c r="E25" s="67">
        <v>1015</v>
      </c>
      <c r="F25" s="67">
        <v>606</v>
      </c>
      <c r="G25" s="67">
        <v>1800</v>
      </c>
      <c r="H25" s="67">
        <v>177</v>
      </c>
      <c r="I25" s="67">
        <v>648</v>
      </c>
      <c r="J25" s="48">
        <f>SUM(B25:I25)</f>
        <v>6681</v>
      </c>
      <c r="K25" s="11"/>
    </row>
    <row r="26" spans="1:11" ht="17.45" customHeight="1" x14ac:dyDescent="0.25">
      <c r="A26" s="8" t="s">
        <v>36</v>
      </c>
      <c r="B26" s="50">
        <v>2800</v>
      </c>
      <c r="C26" s="50">
        <v>2999</v>
      </c>
      <c r="D26" s="50">
        <v>1029</v>
      </c>
      <c r="E26" s="59">
        <v>380</v>
      </c>
      <c r="F26" s="50">
        <v>1024.0999999999999</v>
      </c>
      <c r="G26" s="50">
        <v>2337</v>
      </c>
      <c r="H26" s="50">
        <v>572.9</v>
      </c>
      <c r="I26" s="50">
        <v>2075</v>
      </c>
      <c r="J26" s="50">
        <f>B26+C26+D26+E26+F26+G26+H26+I26</f>
        <v>13217</v>
      </c>
      <c r="K26" s="11"/>
    </row>
    <row r="27" spans="1:11" ht="25.15" customHeight="1" x14ac:dyDescent="0.25">
      <c r="A27" s="8" t="s">
        <v>37</v>
      </c>
      <c r="B27" s="68">
        <f>(B26/B4)/($J$26/$J$4)</f>
        <v>1.0901704912453143</v>
      </c>
      <c r="C27" s="68">
        <f t="shared" ref="C27:J27" si="9">(C26/C4)/($J$26/$J$4)</f>
        <v>1.2746945476346232</v>
      </c>
      <c r="D27" s="68">
        <f t="shared" si="9"/>
        <v>0.62304979194510401</v>
      </c>
      <c r="E27" s="68">
        <f t="shared" si="9"/>
        <v>0.53526276017512053</v>
      </c>
      <c r="F27" s="68">
        <f t="shared" si="9"/>
        <v>0.607605525061235</v>
      </c>
      <c r="G27" s="68">
        <f t="shared" si="9"/>
        <v>1.206758424157504</v>
      </c>
      <c r="H27" s="68">
        <f t="shared" si="9"/>
        <v>0.62877538771705344</v>
      </c>
      <c r="I27" s="68">
        <f t="shared" si="9"/>
        <v>1.4808830379299258</v>
      </c>
      <c r="J27" s="68">
        <f t="shared" si="9"/>
        <v>1</v>
      </c>
      <c r="K27" s="12" t="s">
        <v>38</v>
      </c>
    </row>
    <row r="28" spans="1:11" ht="21.6" customHeight="1" x14ac:dyDescent="0.25">
      <c r="A28" s="41" t="s">
        <v>39</v>
      </c>
      <c r="B28" s="69">
        <f>B29*$K$17+B30*$K$18+B31*$K$19+B32*$K$20</f>
        <v>1.0057120758939568</v>
      </c>
      <c r="C28" s="69">
        <f t="shared" ref="C28:J28" si="10">C29*$K$17+C30*$K$18+C31*$K$19+C32*$K$20</f>
        <v>1.100629313869895</v>
      </c>
      <c r="D28" s="69">
        <f t="shared" si="10"/>
        <v>1.0384948360861275</v>
      </c>
      <c r="E28" s="69">
        <f t="shared" si="10"/>
        <v>1.5365610604416444</v>
      </c>
      <c r="F28" s="69">
        <f t="shared" si="10"/>
        <v>0.83555676844947091</v>
      </c>
      <c r="G28" s="69">
        <f t="shared" si="10"/>
        <v>1.4481085152115425</v>
      </c>
      <c r="H28" s="69">
        <f t="shared" si="10"/>
        <v>1.0197912759641083</v>
      </c>
      <c r="I28" s="69">
        <f t="shared" si="10"/>
        <v>1.600055323044566</v>
      </c>
      <c r="J28" s="69">
        <f t="shared" si="10"/>
        <v>1.2873314303933983</v>
      </c>
      <c r="K28" s="8" t="s">
        <v>40</v>
      </c>
    </row>
    <row r="29" spans="1:11" ht="15.75" x14ac:dyDescent="0.25">
      <c r="A29" s="4" t="s">
        <v>28</v>
      </c>
      <c r="B29" s="69">
        <f>B22*B24/$J$22*$J$24</f>
        <v>1.0235597735069042</v>
      </c>
      <c r="C29" s="69">
        <f t="shared" ref="C29:J29" si="11">C22*C24/$J$22*$J$24</f>
        <v>1.0161176588842293</v>
      </c>
      <c r="D29" s="69">
        <f t="shared" si="11"/>
        <v>1.5390073567582989</v>
      </c>
      <c r="E29" s="69">
        <f t="shared" si="11"/>
        <v>2.6238400462572589</v>
      </c>
      <c r="F29" s="69">
        <f t="shared" si="11"/>
        <v>1.2515180885671024</v>
      </c>
      <c r="G29" s="69">
        <f t="shared" si="11"/>
        <v>1.4141803591303477</v>
      </c>
      <c r="H29" s="69">
        <f t="shared" si="11"/>
        <v>1.5792593316081731</v>
      </c>
      <c r="I29" s="69">
        <f t="shared" si="11"/>
        <v>1.3984982190804158</v>
      </c>
      <c r="J29" s="69">
        <f t="shared" si="11"/>
        <v>1.4223540123850589</v>
      </c>
      <c r="K29" s="3" t="s">
        <v>41</v>
      </c>
    </row>
    <row r="30" spans="1:11" ht="15.75" x14ac:dyDescent="0.25">
      <c r="A30" s="4" t="s">
        <v>29</v>
      </c>
      <c r="B30" s="69">
        <f>B24*B27/$J$24*$J$27</f>
        <v>0.98366756675485589</v>
      </c>
      <c r="C30" s="69">
        <f t="shared" ref="C30:J30" si="12">C24*C27/$J$24*$J$27</f>
        <v>1.1112276204311338</v>
      </c>
      <c r="D30" s="69">
        <f t="shared" si="12"/>
        <v>0.72456395481002422</v>
      </c>
      <c r="E30" s="69">
        <f t="shared" si="12"/>
        <v>0.69333178895686753</v>
      </c>
      <c r="F30" s="69">
        <f t="shared" si="12"/>
        <v>0.57927203033812791</v>
      </c>
      <c r="G30" s="69">
        <f t="shared" si="12"/>
        <v>1.3702395406530843</v>
      </c>
      <c r="H30" s="69">
        <f t="shared" si="12"/>
        <v>0.56624857990603306</v>
      </c>
      <c r="I30" s="69">
        <f t="shared" si="12"/>
        <v>1.4605263260339612</v>
      </c>
      <c r="J30" s="69">
        <f t="shared" si="12"/>
        <v>1</v>
      </c>
      <c r="K30" s="3" t="s">
        <v>42</v>
      </c>
    </row>
    <row r="31" spans="1:11" ht="15.75" x14ac:dyDescent="0.25">
      <c r="A31" s="4" t="s">
        <v>48</v>
      </c>
      <c r="B31" s="69">
        <f>(B19*B4)/($J$19*$J$4)</f>
        <v>7.1697980056354513E-2</v>
      </c>
      <c r="C31" s="69">
        <f t="shared" ref="C31:J31" si="13">(C19*C4)/($J$19*$J$4)</f>
        <v>0</v>
      </c>
      <c r="D31" s="69">
        <f t="shared" si="13"/>
        <v>9.1590868995180281E-3</v>
      </c>
      <c r="E31" s="69">
        <f t="shared" si="13"/>
        <v>1.0501486351965716E-2</v>
      </c>
      <c r="F31" s="69">
        <f t="shared" si="13"/>
        <v>2.6596122664002447E-2</v>
      </c>
      <c r="G31" s="69">
        <f t="shared" si="13"/>
        <v>0</v>
      </c>
      <c r="H31" s="69">
        <f t="shared" si="13"/>
        <v>1.0593888525944738E-2</v>
      </c>
      <c r="I31" s="69">
        <f t="shared" si="13"/>
        <v>0</v>
      </c>
      <c r="J31" s="69">
        <f t="shared" si="13"/>
        <v>1</v>
      </c>
      <c r="K31" s="20" t="s">
        <v>62</v>
      </c>
    </row>
    <row r="32" spans="1:11" ht="15.75" x14ac:dyDescent="0.25">
      <c r="A32" s="4" t="s">
        <v>66</v>
      </c>
      <c r="B32" s="69">
        <f>B22*B24*B27/$J22*$J$24*$J$27</f>
        <v>1.1158546611029643</v>
      </c>
      <c r="C32" s="69">
        <f>C22*C24*C27/$J$22*J24*J$27</f>
        <v>1.2952396395349854</v>
      </c>
      <c r="D32" s="69">
        <f>D22*D24*D27/J22*$J$24*$J27</f>
        <v>0.9588782134302426</v>
      </c>
      <c r="E32" s="69">
        <f>E22*E24*E27/$J$22*J24*J27</f>
        <v>1.4044438654176763</v>
      </c>
      <c r="F32" s="69">
        <f>F22*F24*F27/J$22*$J24*J27</f>
        <v>0.76042930532744746</v>
      </c>
      <c r="G32" s="69">
        <f>G22*G24*G27/J22*J24*J$27</f>
        <v>1.7065740616586316</v>
      </c>
      <c r="H32" s="69">
        <f>H22*H24*H27/$J$22*$J$24*$J$27</f>
        <v>0.9929993985377038</v>
      </c>
      <c r="I32" s="69">
        <f>I22*I24*I27/$J$22*$J$24*$J$27</f>
        <v>2.0710122912113973</v>
      </c>
      <c r="J32" s="69">
        <f>J22*J24*J27/$J$22*$J$24*$J$27</f>
        <v>1.4223540123850589</v>
      </c>
      <c r="K32" s="3"/>
    </row>
    <row r="33" spans="1:11" ht="19.899999999999999" customHeight="1" x14ac:dyDescent="0.25">
      <c r="A33" s="15" t="s">
        <v>49</v>
      </c>
      <c r="B33" s="70">
        <f>B14/B28</f>
        <v>0.97347339166032776</v>
      </c>
      <c r="C33" s="70">
        <f t="shared" ref="C33:I33" si="14">C14/C28</f>
        <v>0.82884444206164798</v>
      </c>
      <c r="D33" s="70">
        <f t="shared" si="14"/>
        <v>0.75549772823948369</v>
      </c>
      <c r="E33" s="70">
        <f t="shared" si="14"/>
        <v>0.55495302917666567</v>
      </c>
      <c r="F33" s="70">
        <f t="shared" si="14"/>
        <v>0.88585175608922739</v>
      </c>
      <c r="G33" s="70">
        <f t="shared" si="14"/>
        <v>0.91799739724960705</v>
      </c>
      <c r="H33" s="70">
        <f t="shared" si="14"/>
        <v>0.63894256792985915</v>
      </c>
      <c r="I33" s="70">
        <f t="shared" si="14"/>
        <v>0.99883028768231974</v>
      </c>
      <c r="J33" s="71">
        <f>(B33+I33+E33+H33)/4</f>
        <v>0.79154981911229316</v>
      </c>
      <c r="K33" s="20" t="s">
        <v>59</v>
      </c>
    </row>
    <row r="34" spans="1:11" ht="19.899999999999999" customHeight="1" x14ac:dyDescent="0.25">
      <c r="A34" s="15" t="s">
        <v>49</v>
      </c>
      <c r="B34" s="70">
        <f>B14/B28</f>
        <v>0.97347339166032776</v>
      </c>
      <c r="C34" s="70">
        <f t="shared" ref="C34:I34" si="15">C14/C28</f>
        <v>0.82884444206164798</v>
      </c>
      <c r="D34" s="70">
        <f t="shared" si="15"/>
        <v>0.75549772823948369</v>
      </c>
      <c r="E34" s="70">
        <f t="shared" si="15"/>
        <v>0.55495302917666567</v>
      </c>
      <c r="F34" s="70">
        <f t="shared" si="15"/>
        <v>0.88585175608922739</v>
      </c>
      <c r="G34" s="70">
        <f t="shared" si="15"/>
        <v>0.91799739724960705</v>
      </c>
      <c r="H34" s="70">
        <f t="shared" si="15"/>
        <v>0.63894256792985915</v>
      </c>
      <c r="I34" s="70">
        <f t="shared" si="15"/>
        <v>0.99883028768231974</v>
      </c>
      <c r="J34" s="72">
        <f>(E34+I34)/2</f>
        <v>0.7768916584294927</v>
      </c>
      <c r="K34" s="20" t="s">
        <v>60</v>
      </c>
    </row>
    <row r="35" spans="1:11" ht="23.45" customHeight="1" thickBot="1" x14ac:dyDescent="0.3">
      <c r="A35" s="27" t="s">
        <v>43</v>
      </c>
      <c r="B35" s="73"/>
      <c r="C35" s="73"/>
      <c r="D35" s="73"/>
      <c r="E35" s="73"/>
      <c r="F35" s="73"/>
      <c r="G35" s="73"/>
      <c r="H35" s="73"/>
      <c r="I35" s="73"/>
      <c r="J35" s="73">
        <v>4500</v>
      </c>
      <c r="K35" s="28"/>
    </row>
    <row r="36" spans="1:11" ht="31.9" customHeight="1" thickBot="1" x14ac:dyDescent="0.3">
      <c r="A36" s="31" t="s">
        <v>65</v>
      </c>
      <c r="B36" s="74">
        <f>B37+B38</f>
        <v>140.68403034058346</v>
      </c>
      <c r="C36" s="74">
        <f t="shared" ref="C36:I36" si="16">C37+C38</f>
        <v>909.97240441820907</v>
      </c>
      <c r="D36" s="74">
        <f t="shared" si="16"/>
        <v>869.58369764216491</v>
      </c>
      <c r="E36" s="74">
        <f t="shared" si="16"/>
        <v>1053.3794027431306</v>
      </c>
      <c r="F36" s="74">
        <f t="shared" si="16"/>
        <v>330.05905395077565</v>
      </c>
      <c r="G36" s="74">
        <f t="shared" si="16"/>
        <v>472.16405295306106</v>
      </c>
      <c r="H36" s="74">
        <f t="shared" si="16"/>
        <v>718.77295929694105</v>
      </c>
      <c r="I36" s="74">
        <f t="shared" si="16"/>
        <v>5.3843986551346648</v>
      </c>
      <c r="J36" s="75">
        <f>SUM(B36:I36)</f>
        <v>4500.0000000000009</v>
      </c>
      <c r="K36" s="32" t="s">
        <v>50</v>
      </c>
    </row>
    <row r="37" spans="1:11" ht="21" customHeight="1" x14ac:dyDescent="0.25">
      <c r="A37" s="29" t="s">
        <v>51</v>
      </c>
      <c r="B37" s="76">
        <f t="shared" ref="B37:I37" si="17">($J$35-$J$38)*B42/$J$42</f>
        <v>140.68403034058346</v>
      </c>
      <c r="C37" s="76">
        <f t="shared" si="17"/>
        <v>909.97240441820907</v>
      </c>
      <c r="D37" s="76">
        <f t="shared" si="17"/>
        <v>854.13178509299064</v>
      </c>
      <c r="E37" s="76">
        <f t="shared" si="17"/>
        <v>951.42781438067129</v>
      </c>
      <c r="F37" s="76">
        <f t="shared" si="17"/>
        <v>330.05905395077565</v>
      </c>
      <c r="G37" s="76">
        <f t="shared" si="17"/>
        <v>472.16405295306106</v>
      </c>
      <c r="H37" s="76">
        <f t="shared" si="17"/>
        <v>664.79603563735338</v>
      </c>
      <c r="I37" s="76">
        <f t="shared" si="17"/>
        <v>5.3843986551346648</v>
      </c>
      <c r="J37" s="76">
        <f>SUM(B37:I37)</f>
        <v>4328.6195754287792</v>
      </c>
      <c r="K37" s="30" t="s">
        <v>69</v>
      </c>
    </row>
    <row r="38" spans="1:11" ht="15.75" x14ac:dyDescent="0.25">
      <c r="A38" s="3" t="s">
        <v>52</v>
      </c>
      <c r="B38" s="77"/>
      <c r="C38" s="77"/>
      <c r="D38" s="77">
        <f t="shared" ref="D38:H38" si="18">D40*D39</f>
        <v>15.451912549174265</v>
      </c>
      <c r="E38" s="77">
        <f t="shared" si="18"/>
        <v>101.95158836245928</v>
      </c>
      <c r="F38" s="77"/>
      <c r="G38" s="77"/>
      <c r="H38" s="77">
        <f t="shared" si="18"/>
        <v>53.976923659587705</v>
      </c>
      <c r="I38" s="77"/>
      <c r="J38" s="77">
        <f>SUM(B38:I38)</f>
        <v>171.38042457122125</v>
      </c>
      <c r="K38" s="16" t="s">
        <v>53</v>
      </c>
    </row>
    <row r="39" spans="1:11" ht="15.75" x14ac:dyDescent="0.25">
      <c r="A39" s="8" t="s">
        <v>70</v>
      </c>
      <c r="B39" s="78">
        <v>0.1</v>
      </c>
      <c r="C39" s="78">
        <v>0.1</v>
      </c>
      <c r="D39" s="78">
        <v>0.1</v>
      </c>
      <c r="E39" s="78">
        <v>0.1</v>
      </c>
      <c r="F39" s="78">
        <v>0.1</v>
      </c>
      <c r="G39" s="78">
        <v>0.1</v>
      </c>
      <c r="H39" s="78">
        <v>0.1</v>
      </c>
      <c r="I39" s="78">
        <v>0.1</v>
      </c>
      <c r="J39" s="78">
        <v>0.1</v>
      </c>
      <c r="K39" s="4" t="s">
        <v>54</v>
      </c>
    </row>
    <row r="40" spans="1:11" ht="25.9" customHeight="1" x14ac:dyDescent="0.25">
      <c r="A40" s="8" t="s">
        <v>57</v>
      </c>
      <c r="B40" s="79">
        <f t="shared" ref="B40:C40" si="19">($J$43/$J$4)*($J$34-B34)*B28*B4</f>
        <v>-2138.3320244678312</v>
      </c>
      <c r="C40" s="79">
        <f t="shared" si="19"/>
        <v>-566.51960229004385</v>
      </c>
      <c r="D40" s="79">
        <f>($J$43/$J$4)*($J$34-D34)*D28*D4</f>
        <v>154.51912549174264</v>
      </c>
      <c r="E40" s="79">
        <f t="shared" ref="E40:I40" si="20">($J$43/$J$4)*($J$34-E34)*E28*E4</f>
        <v>1019.5158836245927</v>
      </c>
      <c r="F40" s="79">
        <f t="shared" si="20"/>
        <v>-646.18787346180977</v>
      </c>
      <c r="G40" s="79">
        <f t="shared" si="20"/>
        <v>-1666.3984920413452</v>
      </c>
      <c r="H40" s="79">
        <f t="shared" si="20"/>
        <v>539.76923659587703</v>
      </c>
      <c r="I40" s="79">
        <f t="shared" si="20"/>
        <v>-2095.3662628409761</v>
      </c>
      <c r="J40" s="80">
        <f>SUM(B40:I40)</f>
        <v>-5399.0000093897943</v>
      </c>
      <c r="K40" s="43" t="s">
        <v>55</v>
      </c>
    </row>
    <row r="41" spans="1:11" ht="23.45" customHeight="1" x14ac:dyDescent="0.25">
      <c r="A41" s="8" t="s">
        <v>56</v>
      </c>
      <c r="B41" s="81">
        <f>B33+B38/(B28*B4*($J$12+$J$38)/$J$4)</f>
        <v>0.97347339166032776</v>
      </c>
      <c r="C41" s="81">
        <f t="shared" ref="C41:J41" si="21">C33+C38/(C28*C4*($J$12+$J$38)/$J$4)</f>
        <v>0.82884444206164798</v>
      </c>
      <c r="D41" s="81">
        <f t="shared" si="21"/>
        <v>0.75744953007566895</v>
      </c>
      <c r="E41" s="81">
        <f t="shared" si="21"/>
        <v>0.57520083873053685</v>
      </c>
      <c r="F41" s="81">
        <f t="shared" si="21"/>
        <v>0.88585175608922739</v>
      </c>
      <c r="G41" s="81">
        <f t="shared" si="21"/>
        <v>0.91799739724960705</v>
      </c>
      <c r="H41" s="81">
        <f t="shared" si="21"/>
        <v>0.65152788001351813</v>
      </c>
      <c r="I41" s="81">
        <f t="shared" si="21"/>
        <v>0.99883028768231974</v>
      </c>
      <c r="J41" s="81">
        <f t="shared" si="21"/>
        <v>0.79373198816869051</v>
      </c>
      <c r="K41" s="20" t="s">
        <v>58</v>
      </c>
    </row>
    <row r="42" spans="1:11" ht="25.15" customHeight="1" x14ac:dyDescent="0.25">
      <c r="A42" s="8" t="s">
        <v>68</v>
      </c>
      <c r="B42" s="81">
        <f t="shared" ref="B42:I42" si="22">($J$43/$J$4)*(1-B41)*B28*B4</f>
        <v>288.54510122072361</v>
      </c>
      <c r="C42" s="81">
        <f t="shared" si="22"/>
        <v>1866.3673403815881</v>
      </c>
      <c r="D42" s="81">
        <f t="shared" si="22"/>
        <v>1751.8373747812564</v>
      </c>
      <c r="E42" s="81">
        <f t="shared" si="22"/>
        <v>1951.3930212268619</v>
      </c>
      <c r="F42" s="81">
        <f t="shared" si="22"/>
        <v>676.95617548404573</v>
      </c>
      <c r="G42" s="81">
        <f t="shared" si="22"/>
        <v>968.41570519625964</v>
      </c>
      <c r="H42" s="81">
        <f t="shared" si="22"/>
        <v>1363.5068524105263</v>
      </c>
      <c r="I42" s="81">
        <f t="shared" si="22"/>
        <v>11.043484119678205</v>
      </c>
      <c r="J42" s="81">
        <f>SUM(B42:I42)</f>
        <v>8878.0650548209396</v>
      </c>
      <c r="K42" s="20" t="s">
        <v>61</v>
      </c>
    </row>
    <row r="43" spans="1:11" ht="15.75" x14ac:dyDescent="0.25">
      <c r="A43" s="42" t="s">
        <v>44</v>
      </c>
      <c r="B43" s="82">
        <v>11282.3</v>
      </c>
      <c r="C43" s="82">
        <v>10712.7</v>
      </c>
      <c r="D43" s="82">
        <v>4614</v>
      </c>
      <c r="E43" s="82">
        <v>2202</v>
      </c>
      <c r="F43" s="82">
        <v>4926</v>
      </c>
      <c r="G43" s="82">
        <v>10600</v>
      </c>
      <c r="H43" s="82">
        <v>2061</v>
      </c>
      <c r="I43" s="82">
        <v>9260</v>
      </c>
      <c r="J43" s="82">
        <f>SUM(B43:I43)</f>
        <v>55658</v>
      </c>
      <c r="K43" s="3"/>
    </row>
    <row r="44" spans="1:11" ht="15.75" x14ac:dyDescent="0.25">
      <c r="A44" s="42" t="s">
        <v>45</v>
      </c>
      <c r="B44" s="81">
        <f t="shared" ref="B44:J44" si="23">B43/B4*1000</f>
        <v>1673.9317507418396</v>
      </c>
      <c r="C44" s="81">
        <f t="shared" si="23"/>
        <v>1735.131195335277</v>
      </c>
      <c r="D44" s="81">
        <f t="shared" si="23"/>
        <v>1064.605445316105</v>
      </c>
      <c r="E44" s="81">
        <f t="shared" si="23"/>
        <v>1181.964573268921</v>
      </c>
      <c r="F44" s="81">
        <f t="shared" si="23"/>
        <v>1113.7237169342077</v>
      </c>
      <c r="G44" s="81">
        <f t="shared" si="23"/>
        <v>2085.7929948839037</v>
      </c>
      <c r="H44" s="81">
        <f t="shared" si="23"/>
        <v>861.9824341279799</v>
      </c>
      <c r="I44" s="81">
        <f t="shared" si="23"/>
        <v>2518.3573565406582</v>
      </c>
      <c r="J44" s="81">
        <f t="shared" si="23"/>
        <v>1604.7168723330642</v>
      </c>
      <c r="K44" s="18" t="s">
        <v>46</v>
      </c>
    </row>
    <row r="45" spans="1:11" ht="15.75" x14ac:dyDescent="0.25">
      <c r="A45" s="7" t="s">
        <v>47</v>
      </c>
      <c r="B45" s="83">
        <f>B11+B36</f>
        <v>2262.3363022815361</v>
      </c>
      <c r="C45" s="83">
        <f t="shared" ref="C45:J45" si="24">C11+C36</f>
        <v>2853.4562511486902</v>
      </c>
      <c r="D45" s="83">
        <f t="shared" si="24"/>
        <v>2233.8627698368368</v>
      </c>
      <c r="E45" s="83">
        <f t="shared" si="24"/>
        <v>1639.8242369606373</v>
      </c>
      <c r="F45" s="83">
        <f t="shared" si="24"/>
        <v>1722.354009261582</v>
      </c>
      <c r="G45" s="83">
        <f t="shared" si="24"/>
        <v>2071.9024574046816</v>
      </c>
      <c r="H45" s="83">
        <f t="shared" si="24"/>
        <v>1471.4243809899408</v>
      </c>
      <c r="I45" s="83">
        <f t="shared" si="24"/>
        <v>1162.8495921160966</v>
      </c>
      <c r="J45" s="83">
        <f t="shared" si="24"/>
        <v>15418.010000000002</v>
      </c>
      <c r="K45" s="3"/>
    </row>
    <row r="46" spans="1:11" x14ac:dyDescent="0.2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1"/>
    </row>
    <row r="47" spans="1:11" ht="31.5" x14ac:dyDescent="0.25">
      <c r="A47" s="84" t="s">
        <v>73</v>
      </c>
      <c r="B47" s="26"/>
      <c r="C47" s="25"/>
      <c r="D47" s="25"/>
      <c r="E47" s="25"/>
      <c r="F47" s="25" t="s">
        <v>74</v>
      </c>
      <c r="G47" s="25"/>
      <c r="H47" s="25"/>
      <c r="I47" s="25"/>
      <c r="J47" s="25"/>
      <c r="K47" s="25"/>
    </row>
    <row r="48" spans="1:11" x14ac:dyDescent="0.25">
      <c r="A48" s="1"/>
      <c r="B48" s="17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7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9"/>
      <c r="B50" s="17"/>
      <c r="C50" s="1"/>
      <c r="D50" s="1"/>
      <c r="E50" s="1"/>
      <c r="F50" s="1"/>
      <c r="G50" s="1"/>
      <c r="H50" s="1"/>
      <c r="I50" s="1"/>
      <c r="J50" s="1"/>
      <c r="K50" s="1"/>
    </row>
  </sheetData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МинФин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2017-10-15T08:27:45Z</cp:lastPrinted>
  <dcterms:created xsi:type="dcterms:W3CDTF">2011-06-06T14:53:40Z</dcterms:created>
  <dcterms:modified xsi:type="dcterms:W3CDTF">2019-05-07T05:50:02Z</dcterms:modified>
</cp:coreProperties>
</file>